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45" windowHeight="5130" tabRatio="688" activeTab="2"/>
  </bookViews>
  <sheets>
    <sheet name="Start" sheetId="1" r:id="rId1"/>
    <sheet name="Hydrant" sheetId="2" r:id="rId2"/>
    <sheet name="Flow Curve" sheetId="3" r:id="rId3"/>
    <sheet name="Pump" sheetId="4" r:id="rId4"/>
    <sheet name="Pump Curve" sheetId="5" r:id="rId5"/>
  </sheets>
  <definedNames>
    <definedName name="CJS">'Hydrant'!#REF!</definedName>
    <definedName name="Inspectors">'Hydrant'!$G$39:$I$54</definedName>
    <definedName name="_xlnm.Print_Area" localSheetId="1">'Hydrant'!$A$2:$J$23</definedName>
    <definedName name="solver_lin" localSheetId="1" hidden="1">0</definedName>
    <definedName name="solver_num" localSheetId="1" hidden="1">0</definedName>
    <definedName name="solver_opt" localSheetId="1" hidden="1">'Hydrant'!$E$13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<sst xmlns="http://schemas.openxmlformats.org/spreadsheetml/2006/main" count="109" uniqueCount="90">
  <si>
    <t>FireFlow Ver 2.0</t>
  </si>
  <si>
    <t>Project Description</t>
  </si>
  <si>
    <t>Project Number</t>
  </si>
  <si>
    <t>Address</t>
  </si>
  <si>
    <t>Date of Flow test</t>
  </si>
  <si>
    <t>(mm/dd/yy)</t>
  </si>
  <si>
    <t>Inspector</t>
  </si>
  <si>
    <t>Enter the following pressure readings in the boxes below, then click on "Flow Curve"</t>
  </si>
  <si>
    <t xml:space="preserve">    Input here!</t>
  </si>
  <si>
    <r>
      <t xml:space="preserve">You know the pitot </t>
    </r>
    <r>
      <rPr>
        <b/>
        <i/>
        <sz val="10"/>
        <rFont val="Arial"/>
        <family val="0"/>
      </rPr>
      <t>flow</t>
    </r>
    <r>
      <rPr>
        <b/>
        <sz val="10"/>
        <rFont val="Arial"/>
        <family val="0"/>
      </rPr>
      <t xml:space="preserve"> but</t>
    </r>
  </si>
  <si>
    <t>Static</t>
  </si>
  <si>
    <t>psi</t>
  </si>
  <si>
    <r>
      <t xml:space="preserve">not the </t>
    </r>
    <r>
      <rPr>
        <b/>
        <i/>
        <sz val="10"/>
        <rFont val="Arial"/>
        <family val="0"/>
      </rPr>
      <t>pressure</t>
    </r>
    <r>
      <rPr>
        <b/>
        <sz val="10"/>
        <rFont val="Arial"/>
        <family val="0"/>
      </rPr>
      <t>?  Enter it</t>
    </r>
  </si>
  <si>
    <t>here.  If not, make sure you</t>
  </si>
  <si>
    <t>Residual</t>
  </si>
  <si>
    <t>enter zero or leave blank!</t>
  </si>
  <si>
    <t>Pitot</t>
  </si>
  <si>
    <t>Flow</t>
  </si>
  <si>
    <t>gpm</t>
  </si>
  <si>
    <t>Safety factor?</t>
  </si>
  <si>
    <t>The Pitot Flow is:</t>
  </si>
  <si>
    <t>system demand here</t>
  </si>
  <si>
    <t>Flow at 20 psi is:</t>
  </si>
  <si>
    <t>Pressure</t>
  </si>
  <si>
    <t>This hydrant should be painted:</t>
  </si>
  <si>
    <t>Flow orifice &amp; Friction coefficient</t>
  </si>
  <si>
    <t>in.</t>
  </si>
  <si>
    <r>
      <t xml:space="preserve">The information under this line is for graphing purposes of the Water flow chart.  </t>
    </r>
    <r>
      <rPr>
        <b/>
        <i/>
        <sz val="9"/>
        <color indexed="20"/>
        <rFont val="Arial"/>
        <family val="2"/>
      </rPr>
      <t>Please to not modify!</t>
    </r>
  </si>
  <si>
    <t>Pres</t>
  </si>
  <si>
    <t>2½</t>
  </si>
  <si>
    <t>4½</t>
  </si>
  <si>
    <t>Pump Information</t>
  </si>
  <si>
    <t>Rated Pump Capacity</t>
  </si>
  <si>
    <t>inches</t>
  </si>
  <si>
    <t>Rated Net Pressure</t>
  </si>
  <si>
    <t>feet</t>
  </si>
  <si>
    <t>Percentage of Rated Capacity</t>
  </si>
  <si>
    <t>Converted Net Head</t>
  </si>
  <si>
    <t>Other Pipe Diameters</t>
  </si>
  <si>
    <t>Velocity at inlet</t>
  </si>
  <si>
    <t>Other Velocities</t>
  </si>
  <si>
    <t>ft/s</t>
  </si>
  <si>
    <t>Flow Being used</t>
  </si>
  <si>
    <t>Velocity head</t>
  </si>
  <si>
    <r>
      <t>feet of H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</si>
  <si>
    <t>Water Resources Department</t>
  </si>
  <si>
    <t>WRD</t>
  </si>
  <si>
    <t>other</t>
  </si>
  <si>
    <t>Other Private Contractor</t>
  </si>
  <si>
    <t>RCE</t>
  </si>
  <si>
    <t>Rhonda Embres, Fire Code Inspector</t>
  </si>
  <si>
    <t>Smooth</t>
  </si>
  <si>
    <t>Square</t>
  </si>
  <si>
    <t>Protruding</t>
  </si>
  <si>
    <t>enter diameter</t>
  </si>
  <si>
    <t>Reduced Pressures</t>
  </si>
  <si>
    <t>Enter base of riser</t>
  </si>
  <si>
    <t>Define orifice characteristics:</t>
  </si>
  <si>
    <t>Pump Curve calculations</t>
  </si>
  <si>
    <t>(this button will clear all the information above)</t>
  </si>
  <si>
    <t>Inlet Pipe Diameter</t>
  </si>
  <si>
    <t>Outlet Pipe Diameter</t>
  </si>
  <si>
    <t>Play pipe</t>
  </si>
  <si>
    <t>DEM</t>
  </si>
  <si>
    <t>Doreen Moore, Fire Protection Engineer</t>
  </si>
  <si>
    <t>Hydrant : 893-R</t>
  </si>
  <si>
    <t>SDS</t>
  </si>
  <si>
    <t>Steve Smith, Fire Protection Engineer</t>
  </si>
  <si>
    <t>Jim Koehler, Fire Code Inspector</t>
  </si>
  <si>
    <t>John Shumaker, Fire Code Inspector</t>
  </si>
  <si>
    <t>Robert Helton, Fire Code Inspector</t>
  </si>
  <si>
    <t>Jacob Pulfer, Fire Code Inspector</t>
  </si>
  <si>
    <t>JR Trout, Fire Code Inspector</t>
  </si>
  <si>
    <t>Kristen Johnson, Fire Code Inspector</t>
  </si>
  <si>
    <t>Kristen McClellan, Fire Protection Engineer</t>
  </si>
  <si>
    <t>KLM</t>
  </si>
  <si>
    <t>KHJ</t>
  </si>
  <si>
    <t>JEK</t>
  </si>
  <si>
    <t>JHS</t>
  </si>
  <si>
    <t>KAY</t>
  </si>
  <si>
    <t>Kay Yeager, Hazmat Specialist</t>
  </si>
  <si>
    <t>JRW</t>
  </si>
  <si>
    <t>Jay Weightman, Fire Code Inspector</t>
  </si>
  <si>
    <t>JAH</t>
  </si>
  <si>
    <t>Jeff Hanenberg, Fire Code Inspector</t>
  </si>
  <si>
    <t>JXT</t>
  </si>
  <si>
    <t>JYP</t>
  </si>
  <si>
    <t>RSH</t>
  </si>
  <si>
    <t>Sears Backflow Retro Fit</t>
  </si>
  <si>
    <t>2050 Southgate Rd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</si>
</sst>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"/>
    <numFmt numFmtId="167" formatCode="0\ &quot;psi&quot;"/>
    <numFmt numFmtId="168" formatCode="0.0\ &quot;psi&quot;"/>
    <numFmt numFmtId="169" formatCode="#,##0.00\ &quot;gpm&quot;"/>
    <numFmt numFmtId="170" formatCode="0\ &quot;gpm&quot;"/>
    <numFmt numFmtId="171" formatCode="0.0\ &quot;gpm&quot;"/>
    <numFmt numFmtId="172" formatCode="&quot;The Pitot Flow is&quot;\ #,##0.00\ &quot;gpm&quot;"/>
    <numFmt numFmtId="173" formatCode="&quot;Flowing a&quot;\ 0.0\ &quot;in. Hydrant&quot;"/>
    <numFmt numFmtId="174" formatCode="&quot;System Flow:&quot;\ #,##0\ &quot;gpm&quot;"/>
    <numFmt numFmtId="175" formatCode="&quot;System Pressure:&quot;\ 0\ &quot;psi&quot;"/>
    <numFmt numFmtId="176" formatCode="&quot;The Static Pressure is&quot;\ 0.0\ &quot;psi&quot;"/>
    <numFmt numFmtId="177" formatCode="&quot;Flowing&quot;\ #,##0.00\ &quot;gpm&quot;"/>
    <numFmt numFmtId="178" formatCode="&quot;Flowing a&quot;\ 0.0\ &quot;in. Outlet&quot;"/>
    <numFmt numFmtId="179" formatCode="&quot;System Pressure:&quot;\ 0.0\ &quot;psi&quot;"/>
    <numFmt numFmtId="180" formatCode="&quot;Flowing a&quot;\ 0.0\ &quot;in.&quot;"/>
    <numFmt numFmtId="181" formatCode="&quot;Discharge coefficient:&quot;\ 0.000"/>
    <numFmt numFmtId="182" formatCode="&quot;System Demand&quot;"/>
    <numFmt numFmtId="183" formatCode="#,##0.0\ &quot;gpm&quot;"/>
    <numFmt numFmtId="184" formatCode="0.0"/>
    <numFmt numFmtId="185" formatCode="0.0%"/>
    <numFmt numFmtId="186" formatCode="0&quot;%&quot;"/>
    <numFmt numFmtId="187" formatCode="0&quot;½&quot;"/>
    <numFmt numFmtId="188" formatCode="mmmm\ d\,\ yyyy"/>
    <numFmt numFmtId="189" formatCode="#,##0.0\ &quot;gpm @ 20 psi&quot;"/>
    <numFmt numFmtId="190" formatCode="&quot;The Residual Pressure is&quot;\ 0.0\ &quot;psi&quot;"/>
    <numFmt numFmtId="191" formatCode="&quot;Pump rated capacity:&quot;\ #,##0.00\ &quot;gpm&quot;"/>
    <numFmt numFmtId="192" formatCode="&quot;Pump rated pressure:&quot;\ #,###\ &quot;ft&quot;"/>
    <numFmt numFmtId="193" formatCode="&quot;Pump delivering&quot;\ #,##0.0\ &quot;psi at 100%&quot;"/>
    <numFmt numFmtId="194" formatCode="&quot;Pump delivering&quot;\ #,##0.0\ &quot;psi at 100% flow&quot;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0"/>
    </font>
    <font>
      <b/>
      <sz val="10"/>
      <color indexed="39"/>
      <name val="Arial"/>
      <family val="0"/>
    </font>
    <font>
      <sz val="10"/>
      <color indexed="33"/>
      <name val="Arial"/>
      <family val="2"/>
    </font>
    <font>
      <b/>
      <sz val="10"/>
      <color indexed="33"/>
      <name val="Arial"/>
      <family val="0"/>
    </font>
    <font>
      <b/>
      <sz val="11"/>
      <color indexed="29"/>
      <name val="Arial"/>
      <family val="2"/>
    </font>
    <font>
      <b/>
      <sz val="11"/>
      <color indexed="11"/>
      <name val="Arial"/>
      <family val="2"/>
    </font>
    <font>
      <sz val="11"/>
      <name val="Arial"/>
      <family val="2"/>
    </font>
    <font>
      <b/>
      <sz val="10"/>
      <color indexed="40"/>
      <name val="Arial"/>
      <family val="2"/>
    </font>
    <font>
      <b/>
      <sz val="9"/>
      <color indexed="20"/>
      <name val="Arial"/>
      <family val="2"/>
    </font>
    <font>
      <b/>
      <i/>
      <sz val="9"/>
      <color indexed="20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0"/>
    </font>
    <font>
      <b/>
      <sz val="9"/>
      <color indexed="33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1"/>
      <color indexed="56"/>
      <name val="Arial"/>
      <family val="2"/>
    </font>
    <font>
      <b/>
      <u val="single"/>
      <sz val="14"/>
      <color indexed="33"/>
      <name val="Arial"/>
      <family val="2"/>
    </font>
    <font>
      <b/>
      <sz val="10"/>
      <color indexed="11"/>
      <name val="Arial"/>
      <family val="2"/>
    </font>
    <font>
      <sz val="14"/>
      <color indexed="41"/>
      <name val="Arial Black"/>
      <family val="2"/>
    </font>
    <font>
      <b/>
      <sz val="10"/>
      <color indexed="12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4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1"/>
      <color indexed="8"/>
      <name val="Arial"/>
      <family val="2"/>
    </font>
    <font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0"/>
      <color indexed="8"/>
      <name val="Arrus BT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12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3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68" fontId="8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171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168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8" fontId="8" fillId="34" borderId="15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0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2" fillId="0" borderId="2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1" fillId="0" borderId="21" xfId="0" applyNumberFormat="1" applyFont="1" applyFill="1" applyBorder="1" applyAlignment="1">
      <alignment/>
    </xf>
    <xf numFmtId="183" fontId="1" fillId="0" borderId="22" xfId="0" applyNumberFormat="1" applyFont="1" applyFill="1" applyBorder="1" applyAlignment="1">
      <alignment/>
    </xf>
    <xf numFmtId="183" fontId="1" fillId="0" borderId="23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right"/>
    </xf>
    <xf numFmtId="0" fontId="1" fillId="0" borderId="24" xfId="0" applyFont="1" applyBorder="1" applyAlignment="1">
      <alignment/>
    </xf>
    <xf numFmtId="166" fontId="5" fillId="33" borderId="10" xfId="0" applyNumberFormat="1" applyFon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9" fontId="0" fillId="0" borderId="0" xfId="57" applyFont="1" applyAlignment="1">
      <alignment/>
    </xf>
    <xf numFmtId="3" fontId="0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88" fontId="2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0" borderId="0" xfId="0" applyNumberFormat="1" applyFont="1" applyAlignment="1">
      <alignment/>
    </xf>
    <xf numFmtId="9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Water Supply Curve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025"/>
          <c:w val="0.985"/>
          <c:h val="0.801"/>
        </c:manualLayout>
      </c:layout>
      <c:scatterChart>
        <c:scatterStyle val="smoothMarker"/>
        <c:varyColors val="0"/>
        <c:ser>
          <c:idx val="3"/>
          <c:order val="0"/>
          <c:tx>
            <c:v>Flow @ 20 psi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CCCC"/>
              </a:solidFill>
              <a:ln>
                <a:solidFill>
                  <a:srgbClr val="69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gpm&quot;" sourceLinked="0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Hydrant!$J$29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Hydrant!$I$29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4"/>
          <c:order val="1"/>
          <c:tx>
            <c:v>Reduced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802060"/>
                </a:solidFill>
              </a:ln>
            </c:spPr>
          </c:marker>
          <c:dLbls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Hydrant!$J$30</c:f>
              <c:numCache>
                <c:ptCount val="1"/>
                <c:pt idx="0">
                  <c:v>2421.7243640561437</c:v>
                </c:pt>
              </c:numCache>
            </c:numRef>
          </c:xVal>
          <c:yVal>
            <c:numRef>
              <c:f>Hydrant!$I$30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2"/>
          <c:order val="2"/>
          <c:tx>
            <c:v>Residual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339933"/>
                </a:solidFill>
              </a:ln>
            </c:spPr>
          </c:marker>
          <c:dLbls>
            <c:numFmt formatCode="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Hydrant!$J$31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Hydrant!$I$31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1"/>
          <c:order val="3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5"/>
          <c:order val="4"/>
          <c:tx>
            <c:v>Actual Available Water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0"/>
          <c:order val="5"/>
          <c:tx>
            <c:v>        Reduced Water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Hydrant!$E$27:$E$39</c:f>
              <c:numCache>
                <c:ptCount val="13"/>
                <c:pt idx="0">
                  <c:v>2749.7949284243455</c:v>
                </c:pt>
                <c:pt idx="1">
                  <c:v>2590.188879446296</c:v>
                </c:pt>
                <c:pt idx="2">
                  <c:v>2421.7243640561437</c:v>
                </c:pt>
                <c:pt idx="3">
                  <c:v>2467.3204270273677</c:v>
                </c:pt>
                <c:pt idx="4">
                  <c:v>2512.2097283337503</c:v>
                </c:pt>
                <c:pt idx="5">
                  <c:v>2556.425909814934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Hydrant!$D$27:$D$39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17.35</c:v>
                </c:pt>
                <c:pt idx="4">
                  <c:v>14.7</c:v>
                </c:pt>
                <c:pt idx="5">
                  <c:v>12.049999999999999</c:v>
                </c:pt>
                <c:pt idx="6">
                  <c:v>9.399999999999999</c:v>
                </c:pt>
                <c:pt idx="7">
                  <c:v>30.900000000000002</c:v>
                </c:pt>
                <c:pt idx="8">
                  <c:v>52.400000000000006</c:v>
                </c:pt>
                <c:pt idx="9">
                  <c:v>63.150000000000006</c:v>
                </c:pt>
                <c:pt idx="10">
                  <c:v>73.9</c:v>
                </c:pt>
                <c:pt idx="11">
                  <c:v>84.65</c:v>
                </c:pt>
                <c:pt idx="12">
                  <c:v>95.4</c:v>
                </c:pt>
              </c:numCache>
            </c:numRef>
          </c:yVal>
          <c:smooth val="1"/>
        </c:ser>
        <c:axId val="4086774"/>
        <c:axId val="36780967"/>
      </c:scatterChart>
      <c:valAx>
        <c:axId val="4086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80967"/>
        <c:crosses val="autoZero"/>
        <c:crossBetween val="midCat"/>
        <c:dispUnits/>
      </c:valAx>
      <c:valAx>
        <c:axId val="36780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67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355"/>
          <c:y val="0"/>
          <c:w val="0.245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Pump Supply Curve</a:t>
            </a:r>
          </a:p>
        </c:rich>
      </c:tx>
      <c:layout>
        <c:manualLayout>
          <c:xMode val="factor"/>
          <c:yMode val="factor"/>
          <c:x val="0.02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325"/>
          <c:w val="0.97925"/>
          <c:h val="0.8425"/>
        </c:manualLayout>
      </c:layout>
      <c:scatterChart>
        <c:scatterStyle val="smoothMarker"/>
        <c:varyColors val="0"/>
        <c:ser>
          <c:idx val="1"/>
          <c:order val="0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0"/>
          <c:order val="1"/>
          <c:tx>
            <c:v>Design Curve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4"/>
          <c:order val="2"/>
          <c:tx>
            <c:v>Pump Performance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140% Rated Head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Hydrant!$E$52:$E$54</c:f>
              <c:numCache>
                <c:ptCount val="3"/>
                <c:pt idx="0">
                  <c:v>0</c:v>
                </c:pt>
                <c:pt idx="1">
                  <c:v>1250</c:v>
                </c:pt>
                <c:pt idx="2">
                  <c:v>1875</c:v>
                </c:pt>
              </c:numCache>
            </c:numRef>
          </c:xVal>
          <c:yVal>
            <c:numRef>
              <c:f>Hydrant!$D$52:$D$54</c:f>
              <c:numCache>
                <c:ptCount val="3"/>
                <c:pt idx="0">
                  <c:v>227.33332399999998</c:v>
                </c:pt>
                <c:pt idx="1">
                  <c:v>170.48054388776603</c:v>
                </c:pt>
                <c:pt idx="2">
                  <c:v>115.36013291882514</c:v>
                </c:pt>
              </c:numCache>
            </c:numRef>
          </c:yVal>
          <c:smooth val="1"/>
        </c:ser>
        <c:axId val="62593248"/>
        <c:axId val="26468321"/>
      </c:scatterChart>
      <c:valAx>
        <c:axId val="62593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68321"/>
        <c:crosses val="autoZero"/>
        <c:crossBetween val="midCat"/>
        <c:dispUnits/>
      </c:valAx>
      <c:valAx>
        <c:axId val="26468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9324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00925"/>
          <c:w val="0.242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" right="0.5" top="0.5" bottom="0.5" header="0.25" footer="0.25"/>
  <pageSetup horizontalDpi="600" verticalDpi="600" orientation="landscape"/>
  <headerFooter>
    <oddHeader>&amp;C&amp;"Arial,Bold"&amp;14Colorado Springs Fire Department</oddHeader>
    <oddFooter>&amp;RPrinted at &amp;"Arial,Bold"&amp;T&amp;"Arial,Regular" on &amp;"Arial,Bold"&amp;D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5" right="0.5" top="0.75" bottom="0.75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0.11575</cdr:y>
    </cdr:from>
    <cdr:to>
      <cdr:x>0.8515</cdr:x>
      <cdr:y>0.14525</cdr:y>
    </cdr:to>
    <cdr:sp textlink="Hydrant!$E$10">
      <cdr:nvSpPr>
        <cdr:cNvPr id="1" name="Text 21"/>
        <cdr:cNvSpPr txBox="1">
          <a:spLocks noChangeArrowheads="1"/>
        </cdr:cNvSpPr>
      </cdr:nvSpPr>
      <cdr:spPr>
        <a:xfrm>
          <a:off x="7505700" y="79057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6a74ad02-24ed-495b-9361-5e1031c140fb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fld>
        </a:p>
      </cdr:txBody>
    </cdr:sp>
  </cdr:relSizeAnchor>
  <cdr:relSizeAnchor xmlns:cdr="http://schemas.openxmlformats.org/drawingml/2006/chartDrawing">
    <cdr:from>
      <cdr:x>0.32375</cdr:x>
      <cdr:y>0.06925</cdr:y>
    </cdr:from>
    <cdr:to>
      <cdr:x>0.6935</cdr:x>
      <cdr:y>0.09325</cdr:y>
    </cdr:to>
    <cdr:sp textlink="Start!$B$3">
      <cdr:nvSpPr>
        <cdr:cNvPr id="2" name="Text 22"/>
        <cdr:cNvSpPr txBox="1">
          <a:spLocks noChangeArrowheads="1"/>
        </cdr:cNvSpPr>
      </cdr:nvSpPr>
      <cdr:spPr>
        <a:xfrm>
          <a:off x="2952750" y="466725"/>
          <a:ext cx="3381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fld id="{7e2ded97-e20f-44ca-aceb-1217e0569cf6}" type="TxLink">
            <a:rPr lang="en-US" cap="none" sz="1000" b="0" i="0" u="none" baseline="0">
              <a:solidFill>
                <a:srgbClr val="000000"/>
              </a:solidFill>
            </a:rPr>
            <a:t>Sears Backflow Retro Fit</a:t>
          </a:fld>
        </a:p>
      </cdr:txBody>
    </cdr:sp>
  </cdr:relSizeAnchor>
  <cdr:relSizeAnchor xmlns:cdr="http://schemas.openxmlformats.org/drawingml/2006/chartDrawing">
    <cdr:from>
      <cdr:x>0.67025</cdr:x>
      <cdr:y>0.004</cdr:y>
    </cdr:from>
    <cdr:to>
      <cdr:x>0.73675</cdr:x>
      <cdr:y>0.03225</cdr:y>
    </cdr:to>
    <cdr:sp textlink="Start!$B$4">
      <cdr:nvSpPr>
        <cdr:cNvPr id="3" name="Text 23"/>
        <cdr:cNvSpPr txBox="1">
          <a:spLocks noChangeArrowheads="1"/>
        </cdr:cNvSpPr>
      </cdr:nvSpPr>
      <cdr:spPr>
        <a:xfrm>
          <a:off x="6115050" y="1905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r">
            <a:defRPr/>
          </a:pPr>
          <a:fld id="{ec112d57-ba3e-4d41-812d-a124b7166bfa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0.4125</cdr:x>
      <cdr:y>0.09175</cdr:y>
    </cdr:from>
    <cdr:to>
      <cdr:x>0.61675</cdr:x>
      <cdr:y>0.12</cdr:y>
    </cdr:to>
    <cdr:sp textlink="Start!$B$5">
      <cdr:nvSpPr>
        <cdr:cNvPr id="4" name="Text 24"/>
        <cdr:cNvSpPr txBox="1">
          <a:spLocks noChangeArrowheads="1"/>
        </cdr:cNvSpPr>
      </cdr:nvSpPr>
      <cdr:spPr>
        <a:xfrm>
          <a:off x="3762375" y="619125"/>
          <a:ext cx="1866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b28ada79-7003-454d-b857-54c168fb4d3e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2050 Southgate Rd</a:t>
          </a:fld>
        </a:p>
      </cdr:txBody>
    </cdr:sp>
  </cdr:relSizeAnchor>
  <cdr:relSizeAnchor xmlns:cdr="http://schemas.openxmlformats.org/drawingml/2006/chartDrawing">
    <cdr:from>
      <cdr:x>0.624</cdr:x>
      <cdr:y>0.07075</cdr:y>
    </cdr:from>
    <cdr:to>
      <cdr:x>0.74325</cdr:x>
      <cdr:y>0.1265</cdr:y>
    </cdr:to>
    <cdr:grpSp>
      <cdr:nvGrpSpPr>
        <cdr:cNvPr id="5" name="Group 27"/>
        <cdr:cNvGrpSpPr>
          <a:grpSpLocks/>
        </cdr:cNvGrpSpPr>
      </cdr:nvGrpSpPr>
      <cdr:grpSpPr>
        <a:xfrm>
          <a:off x="5695950" y="476250"/>
          <a:ext cx="1085850" cy="381000"/>
          <a:chOff x="0" y="-398"/>
          <a:chExt cx="19463" cy="20398"/>
        </a:xfrm>
        <a:solidFill>
          <a:srgbClr val="FFFFFF"/>
        </a:solidFill>
      </cdr:grpSpPr>
      <cdr:sp textlink="Start!$B$6">
        <cdr:nvSpPr>
          <cdr:cNvPr id="6" name="Text 25"/>
          <cdr:cNvSpPr txBox="1">
            <a:spLocks noChangeArrowheads="1"/>
          </cdr:cNvSpPr>
        </cdr:nvSpPr>
        <cdr:spPr>
          <a:xfrm>
            <a:off x="0" y="10469"/>
            <a:ext cx="18811" cy="953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0" tIns="22860" rIns="27432" bIns="22860" anchor="ctr"/>
          <a:p>
            <a:pPr algn="r">
              <a:defRPr/>
            </a:pPr>
            <a:fld id="{c99be106-5cec-4c92-ab04-58c4c0c4997b}" type="TxLink"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July 31, 2018</a:t>
            </a:fld>
          </a:p>
        </cdr:txBody>
      </cdr:sp>
      <cdr:sp>
        <cdr:nvSpPr>
          <cdr:cNvPr id="7" name="Text 26"/>
          <cdr:cNvSpPr txBox="1">
            <a:spLocks noChangeArrowheads="1"/>
          </cdr:cNvSpPr>
        </cdr:nvSpPr>
        <cdr:spPr>
          <a:xfrm>
            <a:off x="6145" y="-398"/>
            <a:ext cx="13318" cy="889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Test conducted</a:t>
            </a:r>
          </a:p>
        </cdr:txBody>
      </cdr:sp>
    </cdr:grpSp>
  </cdr:relSizeAnchor>
  <cdr:relSizeAnchor xmlns:cdr="http://schemas.openxmlformats.org/drawingml/2006/chartDrawing">
    <cdr:from>
      <cdr:x>0.00125</cdr:x>
      <cdr:y>0.96475</cdr:y>
    </cdr:from>
    <cdr:to>
      <cdr:x>0.34225</cdr:x>
      <cdr:y>0.99975</cdr:y>
    </cdr:to>
    <cdr:sp textlink="Hydrant!$H$40">
      <cdr:nvSpPr>
        <cdr:cNvPr id="8" name="Text 28"/>
        <cdr:cNvSpPr txBox="1">
          <a:spLocks noChangeArrowheads="1"/>
        </cdr:cNvSpPr>
      </cdr:nvSpPr>
      <cdr:spPr>
        <a:xfrm>
          <a:off x="9525" y="6600825"/>
          <a:ext cx="3114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b14b5f9-331b-4fdc-a4fd-acde95b86372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Private Contractor</a:t>
          </a:fld>
        </a:p>
      </cdr:txBody>
    </cdr:sp>
  </cdr:relSizeAnchor>
  <cdr:relSizeAnchor xmlns:cdr="http://schemas.openxmlformats.org/drawingml/2006/chartDrawing">
    <cdr:from>
      <cdr:x>0</cdr:x>
      <cdr:y>0.94275</cdr:y>
    </cdr:from>
    <cdr:to>
      <cdr:x>0.15175</cdr:x>
      <cdr:y>0.97225</cdr:y>
    </cdr:to>
    <cdr:sp>
      <cdr:nvSpPr>
        <cdr:cNvPr id="9" name="Text 29"/>
        <cdr:cNvSpPr txBox="1">
          <a:spLocks noChangeArrowheads="1"/>
        </cdr:cNvSpPr>
      </cdr:nvSpPr>
      <cdr:spPr>
        <a:xfrm>
          <a:off x="0" y="64484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Flow Test witnessed by:</a:t>
          </a:r>
        </a:p>
      </cdr:txBody>
    </cdr:sp>
  </cdr:relSizeAnchor>
  <cdr:relSizeAnchor xmlns:cdr="http://schemas.openxmlformats.org/drawingml/2006/chartDrawing">
    <cdr:from>
      <cdr:x>0.04775</cdr:x>
      <cdr:y>0.00275</cdr:y>
    </cdr:from>
    <cdr:to>
      <cdr:x>0.284</cdr:x>
      <cdr:y>0.14375</cdr:y>
    </cdr:to>
    <cdr:grpSp>
      <cdr:nvGrpSpPr>
        <cdr:cNvPr id="10" name="Group 33"/>
        <cdr:cNvGrpSpPr>
          <a:grpSpLocks/>
        </cdr:cNvGrpSpPr>
      </cdr:nvGrpSpPr>
      <cdr:grpSpPr>
        <a:xfrm>
          <a:off x="428625" y="9525"/>
          <a:ext cx="2162175" cy="962025"/>
          <a:chOff x="464633" y="91035"/>
          <a:chExt cx="2077879" cy="859850"/>
        </a:xfrm>
        <a:solidFill>
          <a:srgbClr val="FFFFFF"/>
        </a:solidFill>
      </cdr:grpSpPr>
      <cdr:sp textlink="Hydrant!$L$26">
        <cdr:nvSpPr>
          <cdr:cNvPr id="11" name="Text 10"/>
          <cdr:cNvSpPr txBox="1">
            <a:spLocks noChangeArrowheads="1"/>
          </cdr:cNvSpPr>
        </cdr:nvSpPr>
        <cdr:spPr>
          <a:xfrm>
            <a:off x="475542" y="91035"/>
            <a:ext cx="1852429" cy="1807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ef815abe-ee18-4e7f-bb5f-6be69f4df05d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Static Pressure is 106.0 psi</a:t>
            </a:fld>
          </a:p>
        </cdr:txBody>
      </cdr:sp>
      <cdr:sp textlink="Hydrant!$L$27">
        <cdr:nvSpPr>
          <cdr:cNvPr id="12" name="Text 11"/>
          <cdr:cNvSpPr txBox="1">
            <a:spLocks noChangeArrowheads="1"/>
          </cdr:cNvSpPr>
        </cdr:nvSpPr>
        <cdr:spPr>
          <a:xfrm>
            <a:off x="577358" y="194647"/>
            <a:ext cx="1965154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e9f9239c-125c-431c-a93e-a29a1629fa0e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Residual Pressure is 20.0 psi</a:t>
            </a:fld>
          </a:p>
        </cdr:txBody>
      </cdr:sp>
      <cdr:sp textlink="Hydrant!$L$29">
        <cdr:nvSpPr>
          <cdr:cNvPr id="13" name="Text 13"/>
          <cdr:cNvSpPr txBox="1">
            <a:spLocks noChangeArrowheads="1"/>
          </cdr:cNvSpPr>
        </cdr:nvSpPr>
        <cdr:spPr>
          <a:xfrm>
            <a:off x="558657" y="495165"/>
            <a:ext cx="1647758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aa098b91-00bf-4d12-99f4-013a2b8dbeef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Discharge coefficient: 0.830</a:t>
            </a:fld>
          </a:p>
        </cdr:txBody>
      </cdr:sp>
      <cdr:sp textlink="Hydrant!$L$30">
        <cdr:nvSpPr>
          <cdr:cNvPr id="14" name="Text 14"/>
          <cdr:cNvSpPr txBox="1">
            <a:spLocks noChangeArrowheads="1"/>
          </cdr:cNvSpPr>
        </cdr:nvSpPr>
        <cdr:spPr>
          <a:xfrm>
            <a:off x="464633" y="632311"/>
            <a:ext cx="1462307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db256974-cccf-4d51-8f03-422945792f0a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28">
        <cdr:nvSpPr>
          <cdr:cNvPr id="15" name="Text 19"/>
          <cdr:cNvSpPr txBox="1">
            <a:spLocks noChangeArrowheads="1"/>
          </cdr:cNvSpPr>
        </cdr:nvSpPr>
        <cdr:spPr>
          <a:xfrm>
            <a:off x="593981" y="323409"/>
            <a:ext cx="1313739" cy="1803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0d78aa7e-846f-4b6b-b800-370207101178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Flowing 2,600.00 gpm</a:t>
            </a:fld>
          </a:p>
        </cdr:txBody>
      </cdr:sp>
      <cdr:sp textlink="Hydrant!$L$31">
        <cdr:nvSpPr>
          <cdr:cNvPr id="16" name="Text Box 31"/>
          <cdr:cNvSpPr txBox="1">
            <a:spLocks noChangeArrowheads="1"/>
          </cdr:cNvSpPr>
        </cdr:nvSpPr>
        <cdr:spPr>
          <a:xfrm>
            <a:off x="491645" y="770317"/>
            <a:ext cx="1528280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25d74506-b13d-487c-afc6-dc14fa567328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9525</xdr:rowOff>
    </xdr:from>
    <xdr:to>
      <xdr:col>8</xdr:col>
      <xdr:colOff>323850</xdr:colOff>
      <xdr:row>11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3486150" y="1533525"/>
          <a:ext cx="1619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the assumption that 150% of the rated capacity will produce 65% rated head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0.0015</cdr:y>
    </cdr:from>
    <cdr:to>
      <cdr:x>0.34875</cdr:x>
      <cdr:y>0.1285</cdr:y>
    </cdr:to>
    <cdr:grpSp>
      <cdr:nvGrpSpPr>
        <cdr:cNvPr id="1" name="Group 7"/>
        <cdr:cNvGrpSpPr>
          <a:grpSpLocks/>
        </cdr:cNvGrpSpPr>
      </cdr:nvGrpSpPr>
      <cdr:grpSpPr>
        <a:xfrm>
          <a:off x="495300" y="9525"/>
          <a:ext cx="2686050" cy="809625"/>
          <a:chOff x="752955" y="9946"/>
          <a:chExt cx="2647113" cy="794721"/>
        </a:xfrm>
        <a:solidFill>
          <a:srgbClr val="FFFFFF"/>
        </a:solidFill>
      </cdr:grpSpPr>
      <cdr:sp textlink="Hydrant!$L$33">
        <cdr:nvSpPr>
          <cdr:cNvPr id="2" name="Text 2"/>
          <cdr:cNvSpPr txBox="1">
            <a:spLocks noChangeArrowheads="1"/>
          </cdr:cNvSpPr>
        </cdr:nvSpPr>
        <cdr:spPr>
          <a:xfrm>
            <a:off x="960092" y="9946"/>
            <a:ext cx="2116367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d2ab30c3-c646-4aa2-9201-8828090ac406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capacity: 1,250.00 gpm</a:t>
            </a:fld>
          </a:p>
        </cdr:txBody>
      </cdr:sp>
      <cdr:sp textlink="Hydrant!$L$34">
        <cdr:nvSpPr>
          <cdr:cNvPr id="3" name="Text 3"/>
          <cdr:cNvSpPr txBox="1">
            <a:spLocks noChangeArrowheads="1"/>
          </cdr:cNvSpPr>
        </cdr:nvSpPr>
        <cdr:spPr>
          <a:xfrm>
            <a:off x="922370" y="139287"/>
            <a:ext cx="1665034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7c87cfeb-f735-477a-bf8f-7dec80fdc196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pressure: 200 ft</a:t>
            </a:fld>
          </a:p>
        </cdr:txBody>
      </cdr:sp>
      <cdr:sp textlink="Hydrant!$L$30">
        <cdr:nvSpPr>
          <cdr:cNvPr id="4" name="Text 4"/>
          <cdr:cNvSpPr txBox="1">
            <a:spLocks noChangeArrowheads="1"/>
          </cdr:cNvSpPr>
        </cdr:nvSpPr>
        <cdr:spPr>
          <a:xfrm>
            <a:off x="752955" y="453400"/>
            <a:ext cx="1477089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26f21f4e-3710-47c9-8991-f700eb09c537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31">
        <cdr:nvSpPr>
          <cdr:cNvPr id="5" name="Text 5"/>
          <cdr:cNvSpPr txBox="1">
            <a:spLocks noChangeArrowheads="1"/>
          </cdr:cNvSpPr>
        </cdr:nvSpPr>
        <cdr:spPr>
          <a:xfrm>
            <a:off x="856192" y="610556"/>
            <a:ext cx="1542605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4106870b-c3c4-4e20-ac51-c8d8084e1940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  <cdr:sp textlink="Hydrant!$L$35">
        <cdr:nvSpPr>
          <cdr:cNvPr id="6" name="Text 6"/>
          <cdr:cNvSpPr txBox="1">
            <a:spLocks noChangeArrowheads="1"/>
          </cdr:cNvSpPr>
        </cdr:nvSpPr>
        <cdr:spPr>
          <a:xfrm>
            <a:off x="1011049" y="292469"/>
            <a:ext cx="2389681" cy="1879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086d8b4f-a3f5-4fc0-ba9f-3ae21affe921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delivering 170.5 psi at 100% flow</a:t>
            </a:fld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44000" cy="6400800"/>
    <xdr:graphicFrame>
      <xdr:nvGraphicFramePr>
        <xdr:cNvPr id="1" name="Shape 1025"/>
        <xdr:cNvGraphicFramePr/>
      </xdr:nvGraphicFramePr>
      <xdr:xfrm>
        <a:off x="0" y="0"/>
        <a:ext cx="9144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421875" style="0" customWidth="1"/>
    <col min="2" max="2" width="48.421875" style="0" customWidth="1"/>
  </cols>
  <sheetData>
    <row r="1" spans="1:5" ht="12.75">
      <c r="A1" s="89" t="s">
        <v>0</v>
      </c>
      <c r="B1" s="85"/>
      <c r="C1" s="85"/>
      <c r="D1" s="85"/>
      <c r="E1" s="85"/>
    </row>
    <row r="2" ht="12.75">
      <c r="A2" s="88"/>
    </row>
    <row r="3" spans="1:2" ht="12.75">
      <c r="A3" s="88" t="s">
        <v>1</v>
      </c>
      <c r="B3" s="91" t="s">
        <v>88</v>
      </c>
    </row>
    <row r="4" spans="1:2" ht="12.75">
      <c r="A4" s="88" t="s">
        <v>2</v>
      </c>
      <c r="B4" s="91"/>
    </row>
    <row r="5" spans="1:2" ht="12.75">
      <c r="A5" s="88" t="s">
        <v>3</v>
      </c>
      <c r="B5" s="91" t="s">
        <v>89</v>
      </c>
    </row>
    <row r="6" spans="1:2" ht="12.75">
      <c r="A6" s="88" t="s">
        <v>4</v>
      </c>
      <c r="B6" s="92">
        <v>43312</v>
      </c>
    </row>
    <row r="7" spans="1:2" ht="12.75">
      <c r="A7" s="88"/>
      <c r="B7" s="87" t="s">
        <v>5</v>
      </c>
    </row>
    <row r="8" ht="12.75">
      <c r="A8" t="s">
        <v>6</v>
      </c>
    </row>
    <row r="11" ht="12.75">
      <c r="B11" s="87" t="s">
        <v>59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4.7109375" style="0" customWidth="1"/>
    <col min="4" max="4" width="8.28125" style="0" customWidth="1"/>
    <col min="5" max="5" width="10.57421875" style="0" customWidth="1"/>
    <col min="6" max="6" width="5.7109375" style="0" customWidth="1"/>
    <col min="7" max="7" width="3.7109375" style="0" customWidth="1"/>
    <col min="8" max="8" width="8.7109375" style="0" customWidth="1"/>
    <col min="9" max="9" width="9.28125" style="0" customWidth="1"/>
    <col min="10" max="10" width="14.140625" style="0" customWidth="1"/>
    <col min="11" max="11" width="6.7109375" style="0" customWidth="1"/>
    <col min="12" max="12" width="40.7109375" style="0" customWidth="1"/>
  </cols>
  <sheetData>
    <row r="1" spans="1:10" ht="13.5" thickBot="1">
      <c r="A1" s="60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61"/>
      <c r="B2" s="62" t="s">
        <v>8</v>
      </c>
      <c r="C2" s="62"/>
      <c r="D2" s="63" t="s">
        <v>9</v>
      </c>
      <c r="E2" s="61"/>
      <c r="F2" s="61"/>
      <c r="G2" s="61"/>
      <c r="H2" s="99" t="s">
        <v>55</v>
      </c>
      <c r="I2" s="99"/>
      <c r="J2" s="99"/>
    </row>
    <row r="3" spans="1:9" ht="12.75">
      <c r="A3" s="1" t="s">
        <v>10</v>
      </c>
      <c r="B3" s="97">
        <v>106</v>
      </c>
      <c r="C3" t="s">
        <v>11</v>
      </c>
      <c r="D3" s="2" t="s">
        <v>12</v>
      </c>
      <c r="H3" s="13" t="s">
        <v>10</v>
      </c>
      <c r="I3" s="44">
        <f>B3-(E10/100)*B3</f>
        <v>95.4</v>
      </c>
    </row>
    <row r="4" spans="1:9" ht="12.75">
      <c r="A4" s="1"/>
      <c r="B4" s="98"/>
      <c r="D4" s="2" t="s">
        <v>13</v>
      </c>
      <c r="H4" s="13"/>
      <c r="I4" s="14"/>
    </row>
    <row r="5" spans="1:9" ht="12.75">
      <c r="A5" s="1" t="s">
        <v>14</v>
      </c>
      <c r="B5" s="97">
        <v>20</v>
      </c>
      <c r="C5" t="s">
        <v>11</v>
      </c>
      <c r="D5" s="10" t="s">
        <v>15</v>
      </c>
      <c r="H5" s="13" t="s">
        <v>14</v>
      </c>
      <c r="I5" s="44">
        <f>B5-(E10/100)*B3</f>
        <v>9.399999999999999</v>
      </c>
    </row>
    <row r="6" spans="1:9" ht="12.75">
      <c r="A6" s="1"/>
      <c r="B6" s="98"/>
      <c r="D6" s="77" t="s">
        <v>16</v>
      </c>
      <c r="H6" s="13"/>
      <c r="I6" s="14"/>
    </row>
    <row r="7" spans="1:10" ht="12.75">
      <c r="A7" s="76" t="s">
        <v>16</v>
      </c>
      <c r="B7" s="97">
        <v>0</v>
      </c>
      <c r="C7" t="s">
        <v>11</v>
      </c>
      <c r="D7" s="78" t="s">
        <v>17</v>
      </c>
      <c r="E7" s="42">
        <v>2600</v>
      </c>
      <c r="F7" s="24" t="s">
        <v>18</v>
      </c>
      <c r="H7" s="13" t="s">
        <v>16</v>
      </c>
      <c r="I7" s="44">
        <f>IF(E7&gt;1,(E7^2)/((29.83*D15*(B15+0.5)^2)^2),B7)</f>
        <v>26.28002693404489</v>
      </c>
      <c r="J7" s="23" t="str">
        <f>IF(I7&gt;B3,"Use 4½ orifice!","~")</f>
        <v>~</v>
      </c>
    </row>
    <row r="8" ht="12.75">
      <c r="D8" s="25" t="str">
        <f>IF(E7&gt;1,"You are using the above flow!","~")</f>
        <v>You are using the above flow!</v>
      </c>
    </row>
    <row r="9" spans="1:10" ht="12.75">
      <c r="A9" s="20" t="s">
        <v>56</v>
      </c>
      <c r="E9" s="40" t="s">
        <v>19</v>
      </c>
      <c r="H9" s="47"/>
      <c r="I9" s="48" t="s">
        <v>20</v>
      </c>
      <c r="J9" s="57">
        <f>IF(E7=0,29.83*D15*(B15)^2*(I7^0.5),E7)</f>
        <v>2600</v>
      </c>
    </row>
    <row r="10" spans="1:10" ht="12.75">
      <c r="A10" s="20" t="s">
        <v>21</v>
      </c>
      <c r="E10" s="45">
        <v>10</v>
      </c>
      <c r="H10" s="49"/>
      <c r="I10" s="50"/>
      <c r="J10" s="58"/>
    </row>
    <row r="11" spans="1:10" ht="12.75">
      <c r="A11" s="1" t="s">
        <v>17</v>
      </c>
      <c r="B11" s="64">
        <v>1730.89</v>
      </c>
      <c r="C11" t="s">
        <v>18</v>
      </c>
      <c r="H11" s="51"/>
      <c r="I11" s="52" t="s">
        <v>22</v>
      </c>
      <c r="J11" s="59">
        <f>$J$9*(($B$3-20)^(0.54)/($B$3-$B$5)^(0.54))</f>
        <v>2600</v>
      </c>
    </row>
    <row r="12" spans="1:3" ht="12.75">
      <c r="A12" s="1" t="s">
        <v>23</v>
      </c>
      <c r="B12" s="65">
        <v>53.607</v>
      </c>
      <c r="C12" t="s">
        <v>11</v>
      </c>
    </row>
    <row r="13" ht="12.75">
      <c r="H13" s="9" t="s">
        <v>24</v>
      </c>
    </row>
    <row r="14" spans="1:9" ht="15.75" thickBot="1">
      <c r="A14" s="46" t="s">
        <v>25</v>
      </c>
      <c r="H14" s="17" t="str">
        <f>IF(J11&lt;500,"Red","~")</f>
        <v>~</v>
      </c>
      <c r="I14" s="18" t="str">
        <f>IF(AND(500&lt;J11,J11&lt;1000),"Orange","~")</f>
        <v>~</v>
      </c>
    </row>
    <row r="15" spans="1:9" ht="15.75" thickBot="1">
      <c r="A15" s="79" t="s">
        <v>54</v>
      </c>
      <c r="B15" s="41">
        <v>4.026</v>
      </c>
      <c r="C15" t="s">
        <v>26</v>
      </c>
      <c r="D15" s="8">
        <f>IF(AND(E18=4,B15&gt;3),0.64,IF(AND(E18=3,B15&gt;3),0.75,IF(AND(E18=2,B15&gt;3),0.83,IF(AND(E18=4,B15&lt;3),0.7,IF(AND(E18=3,B15&lt;3),0.8,IF(AND(E18=2,B15&lt;3),0.9,0.97))))))</f>
        <v>0.83</v>
      </c>
      <c r="H15" s="19" t="str">
        <f>IF(AND(1000&lt;J11,J11&lt;1500),"Green","~")</f>
        <v>~</v>
      </c>
      <c r="I15" s="26" t="str">
        <f>IF(AND(1500&lt;J11,J11&lt;3000),"Blue",IF(J11&gt;3000,"Blue Cap &amp; Steamer","~"))</f>
        <v>Blue</v>
      </c>
    </row>
    <row r="16" spans="1:9" ht="15">
      <c r="A16" s="84"/>
      <c r="B16" s="55"/>
      <c r="C16" s="53"/>
      <c r="D16" s="56"/>
      <c r="E16" s="53"/>
      <c r="H16" s="19"/>
      <c r="I16" s="26"/>
    </row>
    <row r="17" spans="1:10" ht="18">
      <c r="A17" s="20" t="s">
        <v>57</v>
      </c>
      <c r="H17" s="101" t="s">
        <v>65</v>
      </c>
      <c r="I17" s="102"/>
      <c r="J17" s="102"/>
    </row>
    <row r="18" spans="1:5" ht="12.75">
      <c r="A18" s="20"/>
      <c r="E18" s="43">
        <v>2</v>
      </c>
    </row>
    <row r="20" spans="1:5" ht="12.75">
      <c r="A20" s="20"/>
      <c r="B20" s="53"/>
      <c r="C20" s="53"/>
      <c r="D20" s="54"/>
      <c r="E20" s="53"/>
    </row>
    <row r="21" spans="1:5" ht="15">
      <c r="A21" s="83"/>
      <c r="B21" s="80"/>
      <c r="C21" s="81"/>
      <c r="D21" s="82"/>
      <c r="E21" s="81"/>
    </row>
    <row r="22" spans="1:5" ht="15">
      <c r="A22" s="26"/>
      <c r="B22" s="26"/>
      <c r="C22" s="53"/>
      <c r="D22" s="54"/>
      <c r="E22" s="53"/>
    </row>
    <row r="23" s="6" customFormat="1" ht="13.5" thickBot="1"/>
    <row r="24" s="7" customFormat="1" ht="12.75">
      <c r="A24" s="22" t="s">
        <v>27</v>
      </c>
    </row>
    <row r="25" spans="1:2" s="7" customFormat="1" ht="12.75">
      <c r="A25" s="22"/>
      <c r="B25" s="27"/>
    </row>
    <row r="26" spans="1:12" ht="12.75">
      <c r="A26" t="s">
        <v>28</v>
      </c>
      <c r="B26" t="s">
        <v>17</v>
      </c>
      <c r="D26" t="s">
        <v>28</v>
      </c>
      <c r="E26" t="s">
        <v>17</v>
      </c>
      <c r="H26" s="71"/>
      <c r="I26" s="68">
        <v>1</v>
      </c>
      <c r="L26" s="30">
        <f>B3</f>
        <v>106</v>
      </c>
    </row>
    <row r="27" spans="1:12" ht="12.75">
      <c r="A27">
        <v>0</v>
      </c>
      <c r="B27" s="5">
        <f>$J$9*($B$3^(0.54)/($B$3-$B$5)^(0.54))</f>
        <v>2910.7797944034032</v>
      </c>
      <c r="C27" s="5"/>
      <c r="D27" s="16">
        <v>0</v>
      </c>
      <c r="E27" s="5">
        <f>$J$9*($I$3^(0.54)/($I$3-$I$5)^(0.54))</f>
        <v>2749.7949284243455</v>
      </c>
      <c r="H27" s="71"/>
      <c r="I27" s="68">
        <v>1.5</v>
      </c>
      <c r="L27" s="93">
        <f>B5</f>
        <v>20</v>
      </c>
    </row>
    <row r="28" spans="1:13" ht="12.75">
      <c r="A28">
        <v>10</v>
      </c>
      <c r="B28" s="5">
        <f>$J$9*(($B$3-10)^(0.54)/($B$3-$B$5)^(0.54))</f>
        <v>2759.120386647349</v>
      </c>
      <c r="C28" s="5"/>
      <c r="D28" s="16">
        <v>10</v>
      </c>
      <c r="E28" s="5">
        <f>$J$9*(($I$3-10)^(0.54)/($I$3-$I$5)^(0.54))</f>
        <v>2590.188879446296</v>
      </c>
      <c r="H28" s="71"/>
      <c r="I28" s="38"/>
      <c r="L28" s="31">
        <f>J9</f>
        <v>2600</v>
      </c>
      <c r="M28" s="2"/>
    </row>
    <row r="29" spans="1:12" ht="12.75">
      <c r="A29">
        <v>20</v>
      </c>
      <c r="B29" s="5">
        <f>$J$9*(($B$3-20)^(0.54)/($B$3-$B$5)^(0.54))</f>
        <v>2600</v>
      </c>
      <c r="C29" s="5"/>
      <c r="D29" s="16">
        <v>20</v>
      </c>
      <c r="E29" s="5">
        <f>$J$9*(($I$3-20)^(0.54)/($I$3-$I$5)^(0.54))</f>
        <v>2421.7243640561437</v>
      </c>
      <c r="H29" s="71"/>
      <c r="I29">
        <v>20</v>
      </c>
      <c r="J29" s="39">
        <f>B29</f>
        <v>2600</v>
      </c>
      <c r="L29" s="37">
        <f>D15</f>
        <v>0.83</v>
      </c>
    </row>
    <row r="30" spans="1:12" ht="12.75">
      <c r="A30">
        <f>(A31+A29)/2</f>
        <v>20</v>
      </c>
      <c r="B30" s="5">
        <f>$J$9*(($B$3-A30)^(0.54)/($B$3-$B$5)^(0.54))</f>
        <v>2600</v>
      </c>
      <c r="C30" s="5"/>
      <c r="D30" s="16">
        <f>(D31+D29)/2</f>
        <v>17.35</v>
      </c>
      <c r="E30" s="5">
        <f>$J$9*(($I$3-D30)^(0.54)/($I$3-$I$5)^(0.54))</f>
        <v>2467.3204270273677</v>
      </c>
      <c r="H30" s="71"/>
      <c r="I30">
        <v>20</v>
      </c>
      <c r="J30" s="38">
        <f>E29</f>
        <v>2421.7243640561437</v>
      </c>
      <c r="L30" s="29">
        <f>B11</f>
        <v>1730.89</v>
      </c>
    </row>
    <row r="31" spans="1:12" ht="12.75">
      <c r="A31">
        <f>(A33+A29)/2</f>
        <v>20</v>
      </c>
      <c r="B31" s="5">
        <f>$J$9*(($B$3-A31)^(0.54)/($B$3-$B$5)^(0.54))</f>
        <v>2600</v>
      </c>
      <c r="C31" s="5"/>
      <c r="D31" s="16">
        <f>(D33+D29)/2</f>
        <v>14.7</v>
      </c>
      <c r="E31" s="5">
        <f>$J$9*(($I$3-D31)^(0.54)/($I$3-$I$5)^(0.54))</f>
        <v>2512.2097283337503</v>
      </c>
      <c r="H31" s="71"/>
      <c r="I31">
        <f>B5</f>
        <v>20</v>
      </c>
      <c r="J31" s="38">
        <f>J9</f>
        <v>2600</v>
      </c>
      <c r="L31" s="36">
        <f>B12</f>
        <v>53.607</v>
      </c>
    </row>
    <row r="32" spans="1:9" ht="12.75">
      <c r="A32">
        <f>(A33+A31)/2</f>
        <v>20</v>
      </c>
      <c r="B32" s="5">
        <f>$J$9*(($B$3-A32)^(0.54)/($B$3-$B$5)^(0.54))</f>
        <v>2600</v>
      </c>
      <c r="C32" s="5"/>
      <c r="D32" s="16">
        <f>(D33+D31)/2</f>
        <v>12.049999999999999</v>
      </c>
      <c r="E32" s="5">
        <f>$J$9*(($I$3-D32)^(0.54)/($I$3-$I$5)^(0.54))</f>
        <v>2556.425909814934</v>
      </c>
      <c r="H32" s="71" t="s">
        <v>62</v>
      </c>
      <c r="I32" s="38"/>
    </row>
    <row r="33" spans="1:12" ht="12.75">
      <c r="A33">
        <f>B5</f>
        <v>20</v>
      </c>
      <c r="B33" s="5">
        <f>J9</f>
        <v>2600</v>
      </c>
      <c r="C33" s="5"/>
      <c r="D33" s="16">
        <f>I5</f>
        <v>9.399999999999999</v>
      </c>
      <c r="E33" s="28">
        <f>J9</f>
        <v>2600</v>
      </c>
      <c r="G33" s="71"/>
      <c r="H33" t="s">
        <v>51</v>
      </c>
      <c r="I33" s="38"/>
      <c r="J33" s="21">
        <f>B11</f>
        <v>1730.89</v>
      </c>
      <c r="L33" s="94">
        <f>Pump!A4</f>
        <v>1250</v>
      </c>
    </row>
    <row r="34" spans="1:12" ht="12.75">
      <c r="A34">
        <f>(A35+A33)/2</f>
        <v>41.5</v>
      </c>
      <c r="B34" s="5">
        <f>$J$9*(($B$3-A34)^(0.54)/($B$3-$B$5)^(0.54))</f>
        <v>2225.9040014796474</v>
      </c>
      <c r="C34" s="5"/>
      <c r="D34" s="16">
        <f>(D35+D33)/2</f>
        <v>30.900000000000002</v>
      </c>
      <c r="E34" s="5">
        <f>$J$9*(($I$3-D34)^(0.54)/($I$3-$I$5)^(0.54))</f>
        <v>2225.9040014796474</v>
      </c>
      <c r="G34" s="71"/>
      <c r="H34" t="s">
        <v>52</v>
      </c>
      <c r="J34" s="15">
        <f>B12</f>
        <v>53.607</v>
      </c>
      <c r="L34" s="95">
        <f>Pump!A7</f>
        <v>200</v>
      </c>
    </row>
    <row r="35" spans="1:12" ht="12.75">
      <c r="A35">
        <f>(A39+A33)/2</f>
        <v>63</v>
      </c>
      <c r="B35" s="5">
        <f>$J$9*(($B$3-A35)^(0.54)/($B$3-$B$5)^(0.54))</f>
        <v>1788.2043635816674</v>
      </c>
      <c r="C35" s="5"/>
      <c r="D35" s="16">
        <f>(D39+D33)/2</f>
        <v>52.400000000000006</v>
      </c>
      <c r="E35" s="5">
        <f>$J$9*(($I$3-D35)^(0.54)/($I$3-$I$5)^(0.54))</f>
        <v>1788.2043635816674</v>
      </c>
      <c r="G35" s="71"/>
      <c r="H35" s="71" t="s">
        <v>53</v>
      </c>
      <c r="L35" s="96">
        <f>D53</f>
        <v>170.48054388776603</v>
      </c>
    </row>
    <row r="36" spans="1:8" ht="12.75">
      <c r="A36">
        <f>(A37+A35)/2</f>
        <v>73.75</v>
      </c>
      <c r="B36" s="5">
        <f>$J$9*(($B$3-A36)^(0.54)/($B$3-$B$5)^(0.54))</f>
        <v>1530.9120185999225</v>
      </c>
      <c r="C36" s="5"/>
      <c r="D36" s="16">
        <f>(D37+D35)/2</f>
        <v>63.150000000000006</v>
      </c>
      <c r="E36" s="5">
        <f>$J$9*(($I$3-D36)^(0.54)/($I$3-$I$5)^(0.54))</f>
        <v>1530.9120185999225</v>
      </c>
      <c r="G36" s="71"/>
      <c r="H36" s="71"/>
    </row>
    <row r="37" spans="1:8" ht="12.75">
      <c r="A37">
        <f>(A39+A35)/2</f>
        <v>84.5</v>
      </c>
      <c r="B37" s="5">
        <f>$J$9*(($B$3-A37)^(0.54)/($B$3-$B$5)^(0.54))</f>
        <v>1229.8749407432745</v>
      </c>
      <c r="C37" s="5"/>
      <c r="D37" s="16">
        <f>(D39+D35)/2</f>
        <v>73.9</v>
      </c>
      <c r="E37" s="5">
        <f>$J$9*(($I$3-D37)^(0.54)/($I$3-$I$5)^(0.54))</f>
        <v>1229.8749407432745</v>
      </c>
      <c r="G37" s="71"/>
      <c r="H37" t="s">
        <v>29</v>
      </c>
    </row>
    <row r="38" spans="1:8" ht="12.75">
      <c r="A38">
        <f>(A39+A37)/2</f>
        <v>95.25</v>
      </c>
      <c r="B38" s="5">
        <f>$J$9*(($B$3-A38)^(0.54)/($B$3-$B$5)^(0.54))</f>
        <v>845.8722060372567</v>
      </c>
      <c r="C38" s="5"/>
      <c r="D38" s="16">
        <f>(D39+D37)/2</f>
        <v>84.65</v>
      </c>
      <c r="E38" s="5">
        <f>$J$9*(($I$3-D38)^(0.54)/($I$3-$I$5)^(0.54))</f>
        <v>845.8722060372567</v>
      </c>
      <c r="G38" s="71"/>
      <c r="H38" t="s">
        <v>30</v>
      </c>
    </row>
    <row r="39" spans="1:8" ht="12.75">
      <c r="A39">
        <f>B3</f>
        <v>106</v>
      </c>
      <c r="B39" s="4">
        <v>0</v>
      </c>
      <c r="C39" s="4"/>
      <c r="D39" s="16">
        <f>I3</f>
        <v>95.4</v>
      </c>
      <c r="E39" s="4">
        <v>0</v>
      </c>
      <c r="H39">
        <v>15</v>
      </c>
    </row>
    <row r="40" spans="7:8" ht="12.75">
      <c r="G40" s="71"/>
      <c r="H40" s="90" t="str">
        <f>VLOOKUP(H39,G41:I56,3,FALSE)</f>
        <v>Other Private Contractor</v>
      </c>
    </row>
    <row r="41" spans="1:9" ht="12.75">
      <c r="A41" s="10"/>
      <c r="F41" s="11"/>
      <c r="G41" s="86">
        <v>1</v>
      </c>
      <c r="H41" s="71" t="s">
        <v>63</v>
      </c>
      <c r="I41" t="s">
        <v>64</v>
      </c>
    </row>
    <row r="42" spans="6:9" ht="12.75">
      <c r="F42" s="11"/>
      <c r="G42" s="86">
        <v>2</v>
      </c>
      <c r="H42" t="s">
        <v>83</v>
      </c>
      <c r="I42" t="s">
        <v>84</v>
      </c>
    </row>
    <row r="43" spans="6:9" ht="12.75">
      <c r="F43" s="11"/>
      <c r="G43" s="86">
        <v>3</v>
      </c>
      <c r="H43" s="71" t="s">
        <v>77</v>
      </c>
      <c r="I43" t="s">
        <v>68</v>
      </c>
    </row>
    <row r="44" spans="6:9" ht="12.75">
      <c r="F44" s="11"/>
      <c r="G44" s="86">
        <v>4</v>
      </c>
      <c r="H44" t="s">
        <v>78</v>
      </c>
      <c r="I44" t="s">
        <v>69</v>
      </c>
    </row>
    <row r="45" spans="7:9" ht="12.75">
      <c r="G45" s="86">
        <v>5</v>
      </c>
      <c r="H45" t="s">
        <v>81</v>
      </c>
      <c r="I45" t="s">
        <v>82</v>
      </c>
    </row>
    <row r="46" spans="7:9" ht="12.75">
      <c r="G46" s="86">
        <v>6</v>
      </c>
      <c r="H46" s="71" t="s">
        <v>85</v>
      </c>
      <c r="I46" t="s">
        <v>72</v>
      </c>
    </row>
    <row r="47" spans="7:9" ht="12.75">
      <c r="G47" s="86">
        <v>7</v>
      </c>
      <c r="H47" s="71" t="s">
        <v>86</v>
      </c>
      <c r="I47" t="s">
        <v>71</v>
      </c>
    </row>
    <row r="48" spans="7:9" ht="12.75">
      <c r="G48" s="86">
        <v>8</v>
      </c>
      <c r="H48" t="s">
        <v>79</v>
      </c>
      <c r="I48" t="s">
        <v>80</v>
      </c>
    </row>
    <row r="49" spans="7:9" ht="12.75">
      <c r="G49" s="86">
        <v>9</v>
      </c>
      <c r="H49" t="s">
        <v>76</v>
      </c>
      <c r="I49" t="s">
        <v>73</v>
      </c>
    </row>
    <row r="50" spans="7:9" ht="12.75">
      <c r="G50" s="86">
        <v>10</v>
      </c>
      <c r="H50" t="s">
        <v>75</v>
      </c>
      <c r="I50" t="s">
        <v>74</v>
      </c>
    </row>
    <row r="51" spans="2:9" ht="12.75">
      <c r="B51" s="100" t="s">
        <v>58</v>
      </c>
      <c r="C51" s="100"/>
      <c r="D51" s="100"/>
      <c r="E51" s="100"/>
      <c r="G51" s="86">
        <v>11</v>
      </c>
      <c r="H51" t="s">
        <v>49</v>
      </c>
      <c r="I51" t="s">
        <v>50</v>
      </c>
    </row>
    <row r="52" spans="2:9" ht="12.75">
      <c r="B52" s="68">
        <v>1.4</v>
      </c>
      <c r="C52">
        <v>0</v>
      </c>
      <c r="D52" s="28">
        <f>(Pump!$A$7*0.4333333*1.4)+D55</f>
        <v>227.33332399999998</v>
      </c>
      <c r="E52">
        <v>0</v>
      </c>
      <c r="G52" s="86">
        <v>12</v>
      </c>
      <c r="H52" s="71" t="s">
        <v>87</v>
      </c>
      <c r="I52" t="s">
        <v>70</v>
      </c>
    </row>
    <row r="53" spans="2:9" ht="12.75">
      <c r="B53" s="68">
        <v>1</v>
      </c>
      <c r="C53">
        <v>100</v>
      </c>
      <c r="D53" s="28">
        <f>(Pump!$A$7*0.4333333)+D56</f>
        <v>170.48054388776603</v>
      </c>
      <c r="E53" s="75">
        <f>Pump!A4</f>
        <v>1250</v>
      </c>
      <c r="G53" s="86">
        <v>13</v>
      </c>
      <c r="H53" t="s">
        <v>66</v>
      </c>
      <c r="I53" t="s">
        <v>67</v>
      </c>
    </row>
    <row r="54" spans="2:9" ht="12.75">
      <c r="B54" s="68">
        <v>0.65</v>
      </c>
      <c r="C54">
        <v>150</v>
      </c>
      <c r="D54" s="28">
        <f>(Pump!$A$7*0.4333333*0.65)+D57</f>
        <v>115.36013291882514</v>
      </c>
      <c r="E54" s="75">
        <f>1.5*Pump!A4</f>
        <v>1875</v>
      </c>
      <c r="G54" s="86">
        <v>14</v>
      </c>
      <c r="H54" t="s">
        <v>46</v>
      </c>
      <c r="I54" t="s">
        <v>45</v>
      </c>
    </row>
    <row r="55" spans="4:9" ht="12.75">
      <c r="D55">
        <f>B3</f>
        <v>106</v>
      </c>
      <c r="E55" s="11"/>
      <c r="G55" s="86">
        <v>15</v>
      </c>
      <c r="H55" t="s">
        <v>47</v>
      </c>
      <c r="I55" t="s">
        <v>48</v>
      </c>
    </row>
    <row r="56" spans="4:7" ht="12.75">
      <c r="D56" s="28">
        <f>$B$3-((E53/$J$9)^1.85)*($B$3-$B$5)</f>
        <v>83.81388388776604</v>
      </c>
      <c r="G56" s="86"/>
    </row>
    <row r="57" ht="12.75">
      <c r="D57" s="28">
        <f>$B$3-((E54/$J$9)^1.85)*($B$3-$B$5)</f>
        <v>59.026803918825145</v>
      </c>
    </row>
    <row r="59" spans="1:4" ht="12.75">
      <c r="A59">
        <v>1</v>
      </c>
      <c r="B59" s="32">
        <v>25</v>
      </c>
      <c r="D59">
        <v>13</v>
      </c>
    </row>
    <row r="60" spans="1:4" ht="12.75">
      <c r="A60">
        <f>A59+1</f>
        <v>2</v>
      </c>
      <c r="B60" s="32">
        <v>50</v>
      </c>
      <c r="D60" s="90">
        <f>VLOOKUP(D59,A59:B79,2,FALSE)</f>
        <v>1250</v>
      </c>
    </row>
    <row r="61" spans="1:2" ht="12.75">
      <c r="A61">
        <f aca="true" t="shared" si="0" ref="A61:A79">A60+1</f>
        <v>3</v>
      </c>
      <c r="B61" s="32">
        <v>100</v>
      </c>
    </row>
    <row r="62" spans="1:2" ht="12.75">
      <c r="A62">
        <f t="shared" si="0"/>
        <v>4</v>
      </c>
      <c r="B62" s="32">
        <v>150</v>
      </c>
    </row>
    <row r="63" spans="1:2" ht="12.75">
      <c r="A63">
        <f t="shared" si="0"/>
        <v>5</v>
      </c>
      <c r="B63" s="32">
        <v>200</v>
      </c>
    </row>
    <row r="64" spans="1:2" ht="12.75">
      <c r="A64">
        <f t="shared" si="0"/>
        <v>6</v>
      </c>
      <c r="B64" s="32">
        <v>250</v>
      </c>
    </row>
    <row r="65" spans="1:2" ht="12.75">
      <c r="A65">
        <f t="shared" si="0"/>
        <v>7</v>
      </c>
      <c r="B65" s="32">
        <v>300</v>
      </c>
    </row>
    <row r="66" spans="1:2" ht="12.75">
      <c r="A66">
        <f t="shared" si="0"/>
        <v>8</v>
      </c>
      <c r="B66" s="32">
        <v>400</v>
      </c>
    </row>
    <row r="67" spans="1:2" ht="12.75">
      <c r="A67">
        <f t="shared" si="0"/>
        <v>9</v>
      </c>
      <c r="B67" s="32">
        <v>450</v>
      </c>
    </row>
    <row r="68" spans="1:2" ht="12.75">
      <c r="A68">
        <f t="shared" si="0"/>
        <v>10</v>
      </c>
      <c r="B68" s="32">
        <v>500</v>
      </c>
    </row>
    <row r="69" spans="1:2" ht="12.75">
      <c r="A69">
        <f t="shared" si="0"/>
        <v>11</v>
      </c>
      <c r="B69" s="32">
        <v>750</v>
      </c>
    </row>
    <row r="70" spans="1:2" ht="12.75">
      <c r="A70">
        <f t="shared" si="0"/>
        <v>12</v>
      </c>
      <c r="B70" s="32">
        <v>1000</v>
      </c>
    </row>
    <row r="71" spans="1:2" ht="12.75">
      <c r="A71">
        <f t="shared" si="0"/>
        <v>13</v>
      </c>
      <c r="B71" s="32">
        <v>1250</v>
      </c>
    </row>
    <row r="72" spans="1:2" ht="12.75">
      <c r="A72">
        <f t="shared" si="0"/>
        <v>14</v>
      </c>
      <c r="B72" s="32">
        <v>1500</v>
      </c>
    </row>
    <row r="73" spans="1:2" ht="12.75">
      <c r="A73">
        <f t="shared" si="0"/>
        <v>15</v>
      </c>
      <c r="B73" s="32">
        <v>2000</v>
      </c>
    </row>
    <row r="74" spans="1:2" ht="12.75">
      <c r="A74">
        <f t="shared" si="0"/>
        <v>16</v>
      </c>
      <c r="B74" s="32">
        <v>2500</v>
      </c>
    </row>
    <row r="75" spans="1:2" ht="12.75">
      <c r="A75">
        <f t="shared" si="0"/>
        <v>17</v>
      </c>
      <c r="B75" s="32">
        <v>3000</v>
      </c>
    </row>
    <row r="76" spans="1:2" ht="12.75">
      <c r="A76">
        <f t="shared" si="0"/>
        <v>18</v>
      </c>
      <c r="B76" s="32">
        <v>3500</v>
      </c>
    </row>
    <row r="77" spans="1:2" ht="12.75">
      <c r="A77">
        <f t="shared" si="0"/>
        <v>19</v>
      </c>
      <c r="B77" s="32">
        <v>4000</v>
      </c>
    </row>
    <row r="78" spans="1:2" ht="12.75">
      <c r="A78">
        <f t="shared" si="0"/>
        <v>20</v>
      </c>
      <c r="B78" s="32">
        <v>4500</v>
      </c>
    </row>
    <row r="79" spans="1:2" ht="12.75">
      <c r="A79">
        <f t="shared" si="0"/>
        <v>21</v>
      </c>
      <c r="B79" s="32">
        <v>5000</v>
      </c>
    </row>
  </sheetData>
  <sheetProtection/>
  <mergeCells count="3">
    <mergeCell ref="H2:J2"/>
    <mergeCell ref="B51:E51"/>
    <mergeCell ref="H17:J17"/>
  </mergeCells>
  <printOptions/>
  <pageMargins left="0.75" right="0.5" top="1.25" bottom="0.75" header="0.25" footer="0.25"/>
  <pageSetup horizontalDpi="600" verticalDpi="600" orientation="landscape" scale="150" r:id="rId2"/>
  <headerFooter alignWithMargins="0">
    <oddHeader>&amp;L&amp;A&amp;C&amp;"Arial,Bold"&amp;12Colorado Springs Fire Department</oddHeader>
    <oddFooter>&amp;RPrinted at &amp;"Arial,Bold"&amp;T&amp;"Arial,Regular" on &amp;"Arial,Bold"&amp;D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120" zoomScaleNormal="120" zoomScalePageLayoutView="0" workbookViewId="0" topLeftCell="A1">
      <selection activeCell="D1" sqref="D1"/>
    </sheetView>
  </sheetViews>
  <sheetFormatPr defaultColWidth="9.140625" defaultRowHeight="12.75"/>
  <cols>
    <col min="1" max="2" width="10.7109375" style="32" customWidth="1"/>
    <col min="3" max="3" width="5.7109375" style="32" customWidth="1"/>
    <col min="4" max="5" width="10.7109375" style="32" customWidth="1"/>
    <col min="6" max="6" width="3.7109375" style="32" customWidth="1"/>
    <col min="7" max="8" width="9.7109375" style="32" customWidth="1"/>
    <col min="9" max="16384" width="9.140625" style="32" customWidth="1"/>
  </cols>
  <sheetData>
    <row r="1" ht="18">
      <c r="A1" s="66" t="s">
        <v>31</v>
      </c>
    </row>
    <row r="2" spans="1:10" ht="12.75">
      <c r="A2" s="33"/>
      <c r="J2" s="35"/>
    </row>
    <row r="3" spans="1:10" ht="12.75">
      <c r="A3" s="32" t="s">
        <v>32</v>
      </c>
      <c r="D3" s="32" t="s">
        <v>60</v>
      </c>
      <c r="G3"/>
      <c r="J3" s="35"/>
    </row>
    <row r="4" spans="1:10" ht="12.75">
      <c r="A4" s="12">
        <f>Hydrant!D60</f>
        <v>1250</v>
      </c>
      <c r="B4" s="32" t="s">
        <v>18</v>
      </c>
      <c r="D4" s="3">
        <v>8</v>
      </c>
      <c r="E4" s="32" t="s">
        <v>33</v>
      </c>
      <c r="J4" s="35"/>
    </row>
    <row r="5" spans="4:10" ht="12.75">
      <c r="D5" s="67"/>
      <c r="G5"/>
      <c r="H5"/>
      <c r="J5" s="35"/>
    </row>
    <row r="6" spans="1:10" ht="12.75">
      <c r="A6" s="32" t="s">
        <v>34</v>
      </c>
      <c r="D6" s="32" t="s">
        <v>61</v>
      </c>
      <c r="G6"/>
      <c r="H6"/>
      <c r="J6" s="35"/>
    </row>
    <row r="7" spans="1:10" ht="12.75">
      <c r="A7" s="3">
        <v>200</v>
      </c>
      <c r="B7" s="32" t="s">
        <v>35</v>
      </c>
      <c r="D7" s="3">
        <v>6</v>
      </c>
      <c r="E7" s="32" t="s">
        <v>33</v>
      </c>
      <c r="G7" s="72" t="s">
        <v>36</v>
      </c>
      <c r="H7" s="73"/>
      <c r="I7" s="74"/>
      <c r="J7" s="35"/>
    </row>
    <row r="8" ht="12.75">
      <c r="J8" s="35"/>
    </row>
    <row r="9" spans="1:10" ht="12.75">
      <c r="A9" s="32" t="s">
        <v>37</v>
      </c>
      <c r="D9" s="32" t="s">
        <v>38</v>
      </c>
      <c r="G9" s="32">
        <v>2</v>
      </c>
      <c r="H9"/>
      <c r="J9" s="35"/>
    </row>
    <row r="10" spans="1:10" ht="12.75">
      <c r="A10" s="34">
        <f>IF(G9=1,A7*0.4333333,A7*0.2816666)</f>
        <v>56.33332</v>
      </c>
      <c r="B10" s="32" t="s">
        <v>11</v>
      </c>
      <c r="D10" s="3">
        <v>6</v>
      </c>
      <c r="E10" s="32" t="s">
        <v>33</v>
      </c>
      <c r="G10"/>
      <c r="H10"/>
      <c r="J10" s="35"/>
    </row>
    <row r="11" spans="1:9" ht="12.75">
      <c r="A11"/>
      <c r="I11" s="35"/>
    </row>
    <row r="12" spans="1:10" ht="12.75">
      <c r="A12" s="32" t="s">
        <v>39</v>
      </c>
      <c r="D12" s="32" t="s">
        <v>40</v>
      </c>
      <c r="G12"/>
      <c r="H12"/>
      <c r="J12" s="35"/>
    </row>
    <row r="13" spans="1:10" ht="12.75">
      <c r="A13" s="34">
        <f>IF(G9=1,A4*4*144/(7.481*60*PI()*D4^2),A4*4*216/(7.481*60*PI()*D4^2))</f>
        <v>11.966936972221779</v>
      </c>
      <c r="B13" s="32" t="s">
        <v>41</v>
      </c>
      <c r="D13" s="34">
        <f>IF(G9=1,A4*4*144/(7.481*60*PI()*D10^2),A4*4*216/(7.481*60*PI()*D10^2))</f>
        <v>21.274554617283165</v>
      </c>
      <c r="E13" s="32" t="s">
        <v>41</v>
      </c>
      <c r="G13"/>
      <c r="H13"/>
      <c r="J13" s="35"/>
    </row>
    <row r="14" spans="1:10" ht="12.75">
      <c r="A14" s="70" t="str">
        <f>IF(A4*4*216/(7.481*60*PI()*D4^2)&gt;15,"Inlet velocity too high!","~")</f>
        <v>~</v>
      </c>
      <c r="D14" s="70" t="str">
        <f>IF(D13&gt;20,"Velocity may be too high!","~")</f>
        <v>Velocity may be too high!</v>
      </c>
      <c r="J14" s="35"/>
    </row>
    <row r="15" spans="1:7" ht="12.75">
      <c r="A15" s="32" t="s">
        <v>42</v>
      </c>
      <c r="D15" s="32" t="s">
        <v>43</v>
      </c>
      <c r="G15" s="35"/>
    </row>
    <row r="16" spans="1:7" ht="12.75">
      <c r="A16" s="69">
        <f>IF(G9=1,A4,1.5*A4)</f>
        <v>1875</v>
      </c>
      <c r="B16" s="32" t="s">
        <v>18</v>
      </c>
      <c r="D16" s="34">
        <f>A13^2/(2*32.17)</f>
        <v>2.2257939150936985</v>
      </c>
      <c r="E16" s="32" t="s">
        <v>44</v>
      </c>
      <c r="G16" s="35"/>
    </row>
    <row r="17" spans="4:7" ht="12.75">
      <c r="D17" s="34">
        <f>D16*0.4333333</f>
        <v>0.9645106223474721</v>
      </c>
      <c r="E17" s="32" t="s">
        <v>11</v>
      </c>
      <c r="G17" s="35"/>
    </row>
    <row r="18" ht="12.75">
      <c r="J18" s="35"/>
    </row>
    <row r="19" ht="12.75">
      <c r="J19" s="35"/>
    </row>
    <row r="20" ht="12.75">
      <c r="J20" s="35"/>
    </row>
    <row r="21" ht="12.75">
      <c r="J21" s="35"/>
    </row>
    <row r="22" ht="12.75">
      <c r="J22" s="35"/>
    </row>
  </sheetData>
  <sheetProtection/>
  <printOptions gridLines="1"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Taylor, Wyman L</cp:lastModifiedBy>
  <cp:lastPrinted>2018-07-31T21:16:06Z</cp:lastPrinted>
  <dcterms:created xsi:type="dcterms:W3CDTF">1996-11-05T18:30:38Z</dcterms:created>
  <dcterms:modified xsi:type="dcterms:W3CDTF">2018-07-31T21:17:04Z</dcterms:modified>
  <cp:category/>
  <cp:version/>
  <cp:contentType/>
  <cp:contentStatus/>
</cp:coreProperties>
</file>